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ebastiaanp/Downloads/"/>
    </mc:Choice>
  </mc:AlternateContent>
  <xr:revisionPtr revIDLastSave="0" documentId="13_ncr:9_{D674F1C9-0902-3A4A-B33B-5278336F340B}" xr6:coauthVersionLast="47" xr6:coauthVersionMax="47" xr10:uidLastSave="{00000000-0000-0000-0000-000000000000}"/>
  <bookViews>
    <workbookView xWindow="-12780" yWindow="-28300" windowWidth="51200" windowHeight="28300" xr2:uid="{9883CBE9-9264-EF42-A159-2C6B2E68F807}"/>
  </bookViews>
  <sheets>
    <sheet name="Calculations" sheetId="3" r:id="rId1"/>
    <sheet name="Pivot" sheetId="2" r:id="rId2"/>
    <sheet name="SAMPLE_PAR_2024_04_25" sheetId="1" r:id="rId3"/>
  </sheets>
  <calcPr calcId="191029"/>
  <pivotCaches>
    <pivotCache cacheId="18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1" l="1"/>
  <c r="V17" i="1"/>
  <c r="U17" i="1"/>
  <c r="T17" i="1"/>
  <c r="S17" i="1"/>
  <c r="R17" i="1"/>
  <c r="N3" i="1"/>
  <c r="W3" i="1" s="1"/>
  <c r="N4" i="1"/>
  <c r="W4" i="1" s="1"/>
  <c r="N5" i="1"/>
  <c r="W5" i="1" s="1"/>
  <c r="N6" i="1"/>
  <c r="W6" i="1" s="1"/>
  <c r="N7" i="1"/>
  <c r="W7" i="1" s="1"/>
  <c r="N8" i="1"/>
  <c r="W8" i="1" s="1"/>
  <c r="N9" i="1"/>
  <c r="W9" i="1" s="1"/>
  <c r="N10" i="1"/>
  <c r="W10" i="1" s="1"/>
  <c r="N11" i="1"/>
  <c r="W11" i="1" s="1"/>
  <c r="N12" i="1"/>
  <c r="W12" i="1" s="1"/>
  <c r="N13" i="1"/>
  <c r="W13" i="1" s="1"/>
  <c r="N14" i="1"/>
  <c r="W14" i="1" s="1"/>
  <c r="N15" i="1"/>
  <c r="W15" i="1" s="1"/>
  <c r="N16" i="1"/>
  <c r="W16" i="1" s="1"/>
  <c r="N2" i="1"/>
  <c r="W2" i="1" s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2" i="1"/>
  <c r="W17" i="1"/>
  <c r="G3" i="3"/>
  <c r="I4" i="3"/>
  <c r="E4" i="3"/>
  <c r="C4" i="3"/>
  <c r="I2" i="3"/>
  <c r="K4" i="3"/>
  <c r="B3" i="3"/>
  <c r="K3" i="3"/>
  <c r="I3" i="3"/>
  <c r="B4" i="3"/>
  <c r="E3" i="3"/>
  <c r="G2" i="3"/>
  <c r="C3" i="3"/>
  <c r="E2" i="3"/>
  <c r="G4" i="3"/>
  <c r="C2" i="3"/>
  <c r="B2" i="3"/>
  <c r="K2" i="3"/>
  <c r="L2" i="3" l="1"/>
  <c r="D2" i="3"/>
  <c r="M2" i="3"/>
  <c r="N2" i="3" s="1"/>
  <c r="H4" i="3"/>
  <c r="F2" i="3"/>
  <c r="M3" i="3"/>
  <c r="N3" i="3" s="1"/>
  <c r="D3" i="3"/>
  <c r="H2" i="3"/>
  <c r="F3" i="3"/>
  <c r="J3" i="3"/>
  <c r="L3" i="3"/>
  <c r="L4" i="3"/>
  <c r="J2" i="3"/>
  <c r="D4" i="3"/>
  <c r="M4" i="3"/>
  <c r="N4" i="3" s="1"/>
  <c r="F4" i="3"/>
  <c r="J4" i="3"/>
  <c r="H3" i="3"/>
</calcChain>
</file>

<file path=xl/sharedStrings.xml><?xml version="1.0" encoding="utf-8"?>
<sst xmlns="http://schemas.openxmlformats.org/spreadsheetml/2006/main" count="146" uniqueCount="62">
  <si>
    <t>Psp Reference</t>
  </si>
  <si>
    <t>Payment Method</t>
  </si>
  <si>
    <t>Booking Date</t>
  </si>
  <si>
    <t>Main Currency</t>
  </si>
  <si>
    <t>Record Type</t>
  </si>
  <si>
    <t>Settlement Currency</t>
  </si>
  <si>
    <t>Payable (SC)</t>
  </si>
  <si>
    <t>Commission (SC)</t>
  </si>
  <si>
    <t>Markup (SC)</t>
  </si>
  <si>
    <t>Scheme Fees (SC)</t>
  </si>
  <si>
    <t>Interchange (SC)</t>
  </si>
  <si>
    <t>Processing Fee Currency</t>
  </si>
  <si>
    <t>Processing Fee (FC)</t>
  </si>
  <si>
    <t>mc</t>
  </si>
  <si>
    <t>EUR</t>
  </si>
  <si>
    <t>Received</t>
  </si>
  <si>
    <t>USD</t>
  </si>
  <si>
    <t>Authorised</t>
  </si>
  <si>
    <t>visa</t>
  </si>
  <si>
    <t>SentForSettle</t>
  </si>
  <si>
    <t>maestro</t>
  </si>
  <si>
    <t>Settled</t>
  </si>
  <si>
    <t>Base Currency</t>
  </si>
  <si>
    <t>CAD</t>
  </si>
  <si>
    <t>Commission (BC)</t>
  </si>
  <si>
    <t>Markup (BC)</t>
  </si>
  <si>
    <t>Scheme Fees (BC)</t>
  </si>
  <si>
    <t>Interchange (BC)</t>
  </si>
  <si>
    <t>Processing Fee (BC)</t>
  </si>
  <si>
    <t>FC-BC conversion</t>
  </si>
  <si>
    <t>SC-BS conversion</t>
  </si>
  <si>
    <t>Main Amount (SC)</t>
  </si>
  <si>
    <t>Main Amount (BC)</t>
  </si>
  <si>
    <t>Column Labels</t>
  </si>
  <si>
    <t>Grand Total</t>
  </si>
  <si>
    <t>Row Labels</t>
  </si>
  <si>
    <t>Sum of Commission (BC)</t>
  </si>
  <si>
    <t>Total Sum of Scheme Fees (BC)</t>
  </si>
  <si>
    <t>Total Sum of Commission (BC)</t>
  </si>
  <si>
    <t>Sum of Scheme Fees (BC)</t>
  </si>
  <si>
    <t>Total Sum of Interchange (BC)</t>
  </si>
  <si>
    <t>Sum of Interchange (BC)</t>
  </si>
  <si>
    <t>Total Sum of Markup (BC)</t>
  </si>
  <si>
    <t>Sum of Markup (BC)</t>
  </si>
  <si>
    <t>Total Sum of Processing Fee (BC)</t>
  </si>
  <si>
    <t>Sum of Processing Fee (BC)</t>
  </si>
  <si>
    <t>Total Sum of Main Amount (BC)</t>
  </si>
  <si>
    <t>Sum of Main Amount (BC)</t>
  </si>
  <si>
    <t>Visa</t>
  </si>
  <si>
    <t>Main Amount in CAD</t>
  </si>
  <si>
    <t>Interchange in CAD</t>
  </si>
  <si>
    <t>Interchange Rate</t>
  </si>
  <si>
    <t>Scheme Fees in CAD</t>
  </si>
  <si>
    <t>Scheme Fee Rate</t>
  </si>
  <si>
    <t>Markup in CAD</t>
  </si>
  <si>
    <t>Markup rate</t>
  </si>
  <si>
    <t>Commission in CAD</t>
  </si>
  <si>
    <t>Commission Rate</t>
  </si>
  <si>
    <t>Processing Fee in CAD</t>
  </si>
  <si>
    <t>Processing Fee Rate</t>
  </si>
  <si>
    <t>Total Cost of Payment in CAD</t>
  </si>
  <si>
    <t>Effective Merchant 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</si>
</sst>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.0000%"/>
    <numFmt numFmtId="167" formatCode="_ [$CAD]\ * #,##0.00_ ;_ [$CAD]\ * \-#,##0.00_ ;_ [$CAD]\ * &quot;-&quot;??_ ;_ @_ "/>
  </numFmts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2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8" fillId="0" borderId="0" xfId="0" applyFont="1"/>
    <xf numFmtId="166" fontId="0" fillId="0" borderId="0" xfId="1" applyNumberFormat="1" applyFont="1"/>
    <xf numFmtId="167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 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792.419419791666" createdVersion="8" refreshedVersion="8" minRefreshableVersion="3" recordCount="16" xr:uid="{66586406-DF59-9D43-B6A8-86BC14CBEA95}">
  <cacheSource type="worksheet">
    <worksheetSource ref="A1:W17" sheet="SAMPLE_PAR_2024_04_25"/>
  </cacheSource>
  <cacheFields count="23">
    <cacheField name="Psp Reference" numFmtId="0">
      <sharedItems containsSemiMixedTypes="0" containsString="0" containsNumber="1" containsInteger="1" minValue="8525560064881230" maxValue="8825560093761230" count="4">
        <n v="8525560064881230"/>
        <n v="8525560093441230"/>
        <n v="8825560093761230"/>
        <n v="8525560093861230"/>
      </sharedItems>
    </cacheField>
    <cacheField name="Payment Method" numFmtId="0">
      <sharedItems count="3">
        <s v="mc"/>
        <s v="visa"/>
        <s v="maestro"/>
      </sharedItems>
    </cacheField>
    <cacheField name="Booking Date" numFmtId="22">
      <sharedItems containsSemiMixedTypes="0" containsNonDate="0" containsDate="1" containsString="0" minDate="2025-04-24T09:29:01" maxDate="2025-04-24T13:32:24"/>
    </cacheField>
    <cacheField name="Main Currency" numFmtId="0">
      <sharedItems/>
    </cacheField>
    <cacheField name="Record Type" numFmtId="0">
      <sharedItems/>
    </cacheField>
    <cacheField name="Settlement Currency" numFmtId="0">
      <sharedItems containsBlank="1"/>
    </cacheField>
    <cacheField name="Payable (SC)" numFmtId="0">
      <sharedItems containsString="0" containsBlank="1" containsNumber="1" minValue="119.24" maxValue="119.76"/>
    </cacheField>
    <cacheField name="Commission (SC)" numFmtId="0">
      <sharedItems containsString="0" containsBlank="1" containsNumber="1" containsInteger="1" minValue="0" maxValue="0"/>
    </cacheField>
    <cacheField name="Markup (SC)" numFmtId="0">
      <sharedItems containsString="0" containsBlank="1" containsNumber="1" minValue="0.73" maxValue="0.73"/>
    </cacheField>
    <cacheField name="Scheme Fees (SC)" numFmtId="0">
      <sharedItems containsString="0" containsBlank="1" containsNumber="1" minValue="0.2" maxValue="0.28000000000000003"/>
    </cacheField>
    <cacheField name="Interchange (SC)" numFmtId="0">
      <sharedItems containsString="0" containsBlank="1" containsNumber="1" minValue="0.75" maxValue="0.81"/>
    </cacheField>
    <cacheField name="Processing Fee Currency" numFmtId="0">
      <sharedItems containsBlank="1"/>
    </cacheField>
    <cacheField name="Processing Fee (FC)" numFmtId="0">
      <sharedItems containsString="0" containsBlank="1" containsNumber="1" minValue="0.1" maxValue="0.1"/>
    </cacheField>
    <cacheField name="Main Amount (SC)" numFmtId="0">
      <sharedItems containsSemiMixedTypes="0" containsString="0" containsNumber="1" minValue="0" maxValue="121.50000000000001"/>
    </cacheField>
    <cacheField name="Base Currency" numFmtId="0">
      <sharedItems/>
    </cacheField>
    <cacheField name="SC-BS conversion" numFmtId="0">
      <sharedItems containsString="0" containsBlank="1" containsNumber="1" minValue="1.5547662" maxValue="1.5547662"/>
    </cacheField>
    <cacheField name="FC-BC conversion" numFmtId="0">
      <sharedItems containsString="0" containsBlank="1" containsNumber="1" minValue="1.37026060899836" maxValue="1.37026060899836"/>
    </cacheField>
    <cacheField name="Commission (BC)" numFmtId="0">
      <sharedItems containsSemiMixedTypes="0" containsString="0" containsNumber="1" containsInteger="1" minValue="0" maxValue="0"/>
    </cacheField>
    <cacheField name="Markup (BC)" numFmtId="0">
      <sharedItems containsSemiMixedTypes="0" containsString="0" containsNumber="1" minValue="0" maxValue="1.1349793260000001"/>
    </cacheField>
    <cacheField name="Scheme Fees (BC)" numFmtId="0">
      <sharedItems containsSemiMixedTypes="0" containsString="0" containsNumber="1" minValue="0" maxValue="0.43533453600000005"/>
    </cacheField>
    <cacheField name="Interchange (BC)" numFmtId="0">
      <sharedItems containsSemiMixedTypes="0" containsString="0" containsNumber="1" minValue="0" maxValue="1.259360622"/>
    </cacheField>
    <cacheField name="Processing Fee (BC)" numFmtId="0">
      <sharedItems containsSemiMixedTypes="0" containsString="0" containsNumber="1" minValue="0" maxValue="0.13702606089983602"/>
    </cacheField>
    <cacheField name="Main Amount (BC)" numFmtId="0">
      <sharedItems containsSemiMixedTypes="0" containsString="0" containsNumber="1" minValue="0" maxValue="188.904093300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d v="2025-04-24T09:29:01"/>
    <s v="EUR"/>
    <s v="Received"/>
    <m/>
    <m/>
    <m/>
    <m/>
    <m/>
    <m/>
    <s v="USD"/>
    <n v="0.1"/>
    <n v="0"/>
    <s v="CAD"/>
    <m/>
    <n v="1.37026060899836"/>
    <n v="0"/>
    <n v="0"/>
    <n v="0"/>
    <n v="0"/>
    <n v="0.13702606089983602"/>
    <n v="0"/>
  </r>
  <r>
    <x v="0"/>
    <x v="0"/>
    <d v="2025-04-24T09:29:01"/>
    <s v="EUR"/>
    <s v="Authorised"/>
    <m/>
    <m/>
    <m/>
    <m/>
    <m/>
    <m/>
    <m/>
    <m/>
    <n v="0"/>
    <s v="CAD"/>
    <m/>
    <m/>
    <n v="0"/>
    <n v="0"/>
    <n v="0"/>
    <n v="0"/>
    <n v="0"/>
    <n v="0"/>
  </r>
  <r>
    <x v="1"/>
    <x v="1"/>
    <d v="2025-04-24T09:49:21"/>
    <s v="EUR"/>
    <s v="Received"/>
    <m/>
    <m/>
    <m/>
    <m/>
    <m/>
    <m/>
    <s v="USD"/>
    <n v="0.1"/>
    <n v="0"/>
    <s v="CAD"/>
    <m/>
    <n v="1.37026060899836"/>
    <n v="0"/>
    <n v="0"/>
    <n v="0"/>
    <n v="0"/>
    <n v="0.13702606089983602"/>
    <n v="0"/>
  </r>
  <r>
    <x v="1"/>
    <x v="1"/>
    <d v="2025-04-24T09:49:21"/>
    <s v="EUR"/>
    <s v="Authorised"/>
    <m/>
    <m/>
    <m/>
    <m/>
    <m/>
    <m/>
    <m/>
    <m/>
    <n v="0"/>
    <s v="CAD"/>
    <m/>
    <m/>
    <n v="0"/>
    <n v="0"/>
    <n v="0"/>
    <n v="0"/>
    <n v="0"/>
    <n v="0"/>
  </r>
  <r>
    <x v="1"/>
    <x v="1"/>
    <d v="2025-04-24T09:49:26"/>
    <s v="EUR"/>
    <s v="SentForSettle"/>
    <m/>
    <m/>
    <m/>
    <m/>
    <m/>
    <m/>
    <m/>
    <m/>
    <n v="0"/>
    <s v="CAD"/>
    <m/>
    <m/>
    <n v="0"/>
    <n v="0"/>
    <n v="0"/>
    <n v="0"/>
    <n v="0"/>
    <n v="0"/>
  </r>
  <r>
    <x v="2"/>
    <x v="0"/>
    <d v="2025-04-24T09:49:40"/>
    <s v="EUR"/>
    <s v="Received"/>
    <m/>
    <m/>
    <m/>
    <m/>
    <m/>
    <m/>
    <s v="USD"/>
    <n v="0.1"/>
    <n v="0"/>
    <s v="CAD"/>
    <m/>
    <n v="1.37026060899836"/>
    <n v="0"/>
    <n v="0"/>
    <n v="0"/>
    <n v="0"/>
    <n v="0.13702606089983602"/>
    <n v="0"/>
  </r>
  <r>
    <x v="2"/>
    <x v="0"/>
    <d v="2025-04-24T09:49:41"/>
    <s v="EUR"/>
    <s v="Authorised"/>
    <m/>
    <m/>
    <m/>
    <m/>
    <m/>
    <m/>
    <m/>
    <m/>
    <n v="0"/>
    <s v="CAD"/>
    <m/>
    <m/>
    <n v="0"/>
    <n v="0"/>
    <n v="0"/>
    <n v="0"/>
    <n v="0"/>
    <n v="0"/>
  </r>
  <r>
    <x v="2"/>
    <x v="2"/>
    <d v="2025-04-24T09:49:55"/>
    <s v="EUR"/>
    <s v="SentForSettle"/>
    <m/>
    <m/>
    <m/>
    <m/>
    <m/>
    <m/>
    <m/>
    <m/>
    <n v="0"/>
    <s v="CAD"/>
    <m/>
    <m/>
    <n v="0"/>
    <n v="0"/>
    <n v="0"/>
    <n v="0"/>
    <n v="0"/>
    <n v="0"/>
  </r>
  <r>
    <x v="3"/>
    <x v="2"/>
    <d v="2025-04-24T09:50:00"/>
    <s v="EUR"/>
    <s v="Received"/>
    <m/>
    <m/>
    <m/>
    <m/>
    <m/>
    <m/>
    <s v="USD"/>
    <n v="0.1"/>
    <n v="0"/>
    <s v="CAD"/>
    <m/>
    <n v="1.37026060899836"/>
    <n v="0"/>
    <n v="0"/>
    <n v="0"/>
    <n v="0"/>
    <n v="0.13702606089983602"/>
    <n v="0"/>
  </r>
  <r>
    <x v="3"/>
    <x v="0"/>
    <d v="2025-04-24T09:50:01"/>
    <s v="EUR"/>
    <s v="Authorised"/>
    <m/>
    <m/>
    <m/>
    <m/>
    <m/>
    <m/>
    <m/>
    <m/>
    <n v="0"/>
    <s v="CAD"/>
    <m/>
    <m/>
    <n v="0"/>
    <n v="0"/>
    <n v="0"/>
    <n v="0"/>
    <n v="0"/>
    <n v="0"/>
  </r>
  <r>
    <x v="3"/>
    <x v="0"/>
    <d v="2025-04-24T09:50:11"/>
    <s v="EUR"/>
    <s v="SentForSettle"/>
    <m/>
    <m/>
    <m/>
    <m/>
    <m/>
    <m/>
    <m/>
    <m/>
    <n v="0"/>
    <s v="CAD"/>
    <m/>
    <m/>
    <n v="0"/>
    <n v="0"/>
    <n v="0"/>
    <n v="0"/>
    <n v="0"/>
    <n v="0"/>
  </r>
  <r>
    <x v="0"/>
    <x v="2"/>
    <d v="2025-04-24T13:32:20"/>
    <s v="EUR"/>
    <s v="Settled"/>
    <s v="EUR"/>
    <n v="119.74"/>
    <n v="0"/>
    <n v="0.73"/>
    <n v="0.28000000000000003"/>
    <n v="0.75"/>
    <m/>
    <m/>
    <n v="121.5"/>
    <s v="CAD"/>
    <n v="1.5547662"/>
    <m/>
    <n v="0"/>
    <n v="1.1349793260000001"/>
    <n v="0.43533453600000005"/>
    <n v="1.1660746500000001"/>
    <n v="0"/>
    <n v="188.9040933"/>
  </r>
  <r>
    <x v="1"/>
    <x v="2"/>
    <d v="2025-04-24T13:32:24"/>
    <s v="EUR"/>
    <s v="Settled"/>
    <s v="EUR"/>
    <n v="119.74"/>
    <n v="0"/>
    <n v="0.73"/>
    <n v="0.28000000000000003"/>
    <n v="0.75"/>
    <m/>
    <m/>
    <n v="121.5"/>
    <s v="CAD"/>
    <n v="1.5547662"/>
    <m/>
    <n v="0"/>
    <n v="1.1349793260000001"/>
    <n v="0.43533453600000005"/>
    <n v="1.1660746500000001"/>
    <n v="0"/>
    <n v="188.9040933"/>
  </r>
  <r>
    <x v="2"/>
    <x v="0"/>
    <d v="2025-04-24T13:32:24"/>
    <s v="EUR"/>
    <s v="Settled"/>
    <s v="EUR"/>
    <n v="119.24"/>
    <n v="0"/>
    <n v="0.73"/>
    <n v="0.24"/>
    <n v="0.79"/>
    <m/>
    <m/>
    <n v="121"/>
    <s v="CAD"/>
    <n v="1.5547662"/>
    <m/>
    <n v="0"/>
    <n v="1.1349793260000001"/>
    <n v="0.37314388799999998"/>
    <n v="1.2282652979999999"/>
    <n v="0"/>
    <n v="188.12671019999999"/>
  </r>
  <r>
    <x v="3"/>
    <x v="0"/>
    <d v="2025-04-24T13:32:24"/>
    <s v="EUR"/>
    <s v="Settled"/>
    <s v="EUR"/>
    <n v="119.34"/>
    <n v="0"/>
    <n v="0.73"/>
    <n v="0.24"/>
    <n v="0.79"/>
    <m/>
    <m/>
    <n v="121.10000000000001"/>
    <s v="CAD"/>
    <n v="1.5547662"/>
    <m/>
    <n v="0"/>
    <n v="1.1349793260000001"/>
    <n v="0.37314388799999998"/>
    <n v="1.2282652979999999"/>
    <n v="0"/>
    <n v="188.28218682000002"/>
  </r>
  <r>
    <x v="1"/>
    <x v="1"/>
    <d v="2025-04-24T13:32:08"/>
    <s v="EUR"/>
    <s v="Settled"/>
    <s v="EUR"/>
    <n v="119.76"/>
    <n v="0"/>
    <n v="0.73"/>
    <n v="0.2"/>
    <n v="0.81"/>
    <m/>
    <m/>
    <n v="121.50000000000001"/>
    <s v="CAD"/>
    <n v="1.5547662"/>
    <m/>
    <n v="0"/>
    <n v="1.1349793260000001"/>
    <n v="0.31095324000000002"/>
    <n v="1.259360622"/>
    <n v="0"/>
    <n v="188.904093300000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510722-CC87-184F-8E78-26D08F961137}" name="PivotTable1" cacheId="1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Y10" firstHeaderRow="1" firstDataRow="3" firstDataCol="1"/>
  <pivotFields count="23">
    <pivotField axis="axisRow" showAll="0">
      <items count="5">
        <item x="0"/>
        <item x="1"/>
        <item x="3"/>
        <item x="2"/>
        <item t="default"/>
      </items>
    </pivotField>
    <pivotField axis="axisCol" showAll="0">
      <items count="4">
        <item x="2"/>
        <item x="0"/>
        <item x="1"/>
        <item t="default"/>
      </items>
    </pivotField>
    <pivotField numFmtId="22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2">
    <field x="-2"/>
    <field x="1"/>
  </colFields>
  <colItems count="24">
    <i>
      <x/>
      <x/>
    </i>
    <i r="1">
      <x v="1"/>
    </i>
    <i r="1">
      <x v="2"/>
    </i>
    <i i="1">
      <x v="1"/>
      <x/>
    </i>
    <i r="1" i="1">
      <x v="1"/>
    </i>
    <i r="1" i="1">
      <x v="2"/>
    </i>
    <i i="2">
      <x v="2"/>
      <x/>
    </i>
    <i r="1" i="2">
      <x v="1"/>
    </i>
    <i r="1" i="2">
      <x v="2"/>
    </i>
    <i i="3">
      <x v="3"/>
      <x/>
    </i>
    <i r="1" i="3">
      <x v="1"/>
    </i>
    <i r="1" i="3">
      <x v="2"/>
    </i>
    <i i="4">
      <x v="4"/>
      <x/>
    </i>
    <i r="1" i="4">
      <x v="1"/>
    </i>
    <i r="1" i="4">
      <x v="2"/>
    </i>
    <i i="5">
      <x v="5"/>
      <x/>
    </i>
    <i r="1" i="5">
      <x v="1"/>
    </i>
    <i r="1" i="5">
      <x v="2"/>
    </i>
    <i t="grand">
      <x/>
    </i>
    <i t="grand" i="1">
      <x/>
    </i>
    <i t="grand" i="2">
      <x/>
    </i>
    <i t="grand" i="3">
      <x/>
    </i>
    <i t="grand" i="4">
      <x/>
    </i>
    <i t="grand" i="5">
      <x/>
    </i>
  </colItems>
  <dataFields count="6">
    <dataField name="Sum of Scheme Fees (BC)" fld="19" baseField="0" baseItem="0"/>
    <dataField name="Sum of Commission (BC)" fld="17" baseField="0" baseItem="0"/>
    <dataField name="Sum of Interchange (BC)" fld="20" baseField="0" baseItem="0"/>
    <dataField name="Sum of Markup (BC)" fld="18" baseField="0" baseItem="0"/>
    <dataField name="Sum of Processing Fee (BC)" fld="21" baseField="0" baseItem="0"/>
    <dataField name="Sum of Main Amount (BC)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65838-E35E-2B49-8B82-A77DCF024C28}">
  <dimension ref="A1:N4"/>
  <sheetViews>
    <sheetView tabSelected="1" workbookViewId="0">
      <selection activeCell="J4" sqref="J4"/>
    </sheetView>
  </sheetViews>
  <sheetFormatPr baseColWidth="10" defaultRowHeight="16" x14ac:dyDescent="0.2"/>
  <cols>
    <col min="1" max="1" width="14.6640625" bestFit="1" customWidth="1"/>
    <col min="2" max="2" width="18.1640625" bestFit="1" customWidth="1"/>
    <col min="3" max="3" width="17.1640625" bestFit="1" customWidth="1"/>
    <col min="4" max="4" width="15.1640625" bestFit="1" customWidth="1"/>
    <col min="5" max="5" width="18.33203125" bestFit="1" customWidth="1"/>
    <col min="6" max="6" width="15.33203125" bestFit="1" customWidth="1"/>
    <col min="7" max="7" width="13.33203125" bestFit="1" customWidth="1"/>
    <col min="8" max="8" width="11" bestFit="1" customWidth="1"/>
    <col min="9" max="9" width="18" bestFit="1" customWidth="1"/>
    <col min="10" max="10" width="16" bestFit="1" customWidth="1"/>
    <col min="11" max="11" width="20" bestFit="1" customWidth="1"/>
    <col min="12" max="12" width="18.1640625" bestFit="1" customWidth="1"/>
    <col min="13" max="13" width="25.5" bestFit="1" customWidth="1"/>
    <col min="14" max="14" width="29.1640625" bestFit="1" customWidth="1"/>
  </cols>
  <sheetData>
    <row r="1" spans="1:14" x14ac:dyDescent="0.2">
      <c r="A1" s="5" t="s">
        <v>1</v>
      </c>
      <c r="B1" s="5" t="s">
        <v>49</v>
      </c>
      <c r="C1" s="5" t="s">
        <v>50</v>
      </c>
      <c r="D1" s="5" t="s">
        <v>51</v>
      </c>
      <c r="E1" s="5" t="s">
        <v>52</v>
      </c>
      <c r="F1" s="5" t="s">
        <v>53</v>
      </c>
      <c r="G1" s="5" t="s">
        <v>54</v>
      </c>
      <c r="H1" s="5" t="s">
        <v>55</v>
      </c>
      <c r="I1" s="5" t="s">
        <v>56</v>
      </c>
      <c r="J1" s="5" t="s">
        <v>57</v>
      </c>
      <c r="K1" s="5" t="s">
        <v>58</v>
      </c>
      <c r="L1" s="5" t="s">
        <v>59</v>
      </c>
      <c r="M1" s="5" t="s">
        <v>60</v>
      </c>
      <c r="N1" s="5" t="s">
        <v>61</v>
      </c>
    </row>
    <row r="2" spans="1:14" x14ac:dyDescent="0.2">
      <c r="A2" s="5" t="s">
        <v>20</v>
      </c>
      <c r="B2" s="7">
        <f>GETPIVOTDATA("Sum of Main Amount (BC)",Pivot!$A$3,"Payment Method","maestro")</f>
        <v>377.8081866</v>
      </c>
      <c r="C2" s="7">
        <f>GETPIVOTDATA("Sum of Interchange (BC)",Pivot!$A$3,"Payment Method","maestro")</f>
        <v>2.3321493000000002</v>
      </c>
      <c r="D2" s="6">
        <f>C2/$B2</f>
        <v>6.17283950617284E-3</v>
      </c>
      <c r="E2" s="7">
        <f>GETPIVOTDATA("Sum of Scheme Fees (BC)",Pivot!$A$3,"Payment Method","maestro")</f>
        <v>0.8706690720000001</v>
      </c>
      <c r="F2" s="6">
        <f>E2/$B2</f>
        <v>2.3045267489711935E-3</v>
      </c>
      <c r="G2" s="7">
        <f>GETPIVOTDATA("Sum of Markup (BC)",Pivot!$A$3,"Payment Method","maestro")</f>
        <v>2.2699586520000001</v>
      </c>
      <c r="H2" s="6">
        <f>G2/$B2</f>
        <v>6.0082304526748974E-3</v>
      </c>
      <c r="I2" s="7">
        <f>GETPIVOTDATA("Sum of Commission (BC)",Pivot!$A$3,"Payment Method","maestro")</f>
        <v>0</v>
      </c>
      <c r="J2" s="6">
        <f>I2/$B2</f>
        <v>0</v>
      </c>
      <c r="K2" s="7">
        <f>GETPIVOTDATA("Sum of Processing Fee (BC)",Pivot!$A$3,"Payment Method","maestro")</f>
        <v>0.13702606089983602</v>
      </c>
      <c r="L2" s="6">
        <f>K2/$B2</f>
        <v>3.6268684946446321E-4</v>
      </c>
      <c r="M2" s="7">
        <f>C2+E2+G2+I2+K2</f>
        <v>5.6098030848998368</v>
      </c>
      <c r="N2" s="6">
        <f>M2/$B2</f>
        <v>1.4848283557283395E-2</v>
      </c>
    </row>
    <row r="3" spans="1:14" x14ac:dyDescent="0.2">
      <c r="A3" s="5" t="s">
        <v>13</v>
      </c>
      <c r="B3" s="7">
        <f>GETPIVOTDATA("Sum of Main Amount (BC)",Pivot!$A$3,"Payment Method","mc")</f>
        <v>376.40889702000004</v>
      </c>
      <c r="C3" s="7">
        <f>GETPIVOTDATA("Sum of Interchange (BC)",Pivot!$A$3,"Payment Method","mc")</f>
        <v>2.4565305959999999</v>
      </c>
      <c r="D3" s="6">
        <f>C3/$B3</f>
        <v>6.5262288310615436E-3</v>
      </c>
      <c r="E3" s="7">
        <f>GETPIVOTDATA("Sum of Scheme Fees (BC)",Pivot!$A$3,"Payment Method","mc")</f>
        <v>0.74628777599999996</v>
      </c>
      <c r="F3" s="6">
        <f>E3/$B3</f>
        <v>1.9826517967781905E-3</v>
      </c>
      <c r="G3" s="7">
        <f>GETPIVOTDATA("Sum of Markup (BC)",Pivot!$A$3,"Payment Method","mc")</f>
        <v>2.2699586520000001</v>
      </c>
      <c r="H3" s="6">
        <f>G3/$B3</f>
        <v>6.0305658818669968E-3</v>
      </c>
      <c r="I3" s="7">
        <f>GETPIVOTDATA("Sum of Commission (BC)",Pivot!$A$3,"Payment Method","mc")</f>
        <v>0</v>
      </c>
      <c r="J3" s="6">
        <f>I3/$B3</f>
        <v>0</v>
      </c>
      <c r="K3" s="7">
        <f>GETPIVOTDATA("Sum of Processing Fee (BC)",Pivot!$A$3,"Payment Method","mc")</f>
        <v>0.27405212179967203</v>
      </c>
      <c r="L3" s="6">
        <f>K3/$B3</f>
        <v>7.2807025543052085E-4</v>
      </c>
      <c r="M3" s="7">
        <f>C3+E3+G3+I3+K3</f>
        <v>5.7468291457996719</v>
      </c>
      <c r="N3" s="6">
        <f>M3/$B3</f>
        <v>1.5267516765137252E-2</v>
      </c>
    </row>
    <row r="4" spans="1:14" x14ac:dyDescent="0.2">
      <c r="A4" s="5" t="s">
        <v>48</v>
      </c>
      <c r="B4" s="7">
        <f>GETPIVOTDATA("Sum of Main Amount (BC)",Pivot!$A$3,"Payment Method","visa")</f>
        <v>188.90409330000003</v>
      </c>
      <c r="C4" s="7">
        <f>GETPIVOTDATA("Sum of Interchange (BC)",Pivot!$A$3,"Payment Method","visa")</f>
        <v>1.259360622</v>
      </c>
      <c r="D4" s="6">
        <f>C4/$B4</f>
        <v>6.6666666666666654E-3</v>
      </c>
      <c r="E4" s="7">
        <f>GETPIVOTDATA("Sum of Scheme Fees (BC)",Pivot!$A$3,"Payment Method","visa")</f>
        <v>0.31095324000000002</v>
      </c>
      <c r="F4" s="6">
        <f>E4/$B4</f>
        <v>1.6460905349794238E-3</v>
      </c>
      <c r="G4" s="7">
        <f>GETPIVOTDATA("Sum of Markup (BC)",Pivot!$A$3,"Payment Method","visa")</f>
        <v>1.1349793260000001</v>
      </c>
      <c r="H4" s="6">
        <f>G4/$B4</f>
        <v>6.0082304526748965E-3</v>
      </c>
      <c r="I4" s="7">
        <f>GETPIVOTDATA("Sum of Commission (BC)",Pivot!$A$3,"Payment Method","visa")</f>
        <v>0</v>
      </c>
      <c r="J4" s="6">
        <f>I4/$B4</f>
        <v>0</v>
      </c>
      <c r="K4" s="7">
        <f>GETPIVOTDATA("Sum of Processing Fee (BC)",Pivot!$A$3,"Payment Method","visa")</f>
        <v>0.13702606089983602</v>
      </c>
      <c r="L4" s="6">
        <f>K4/$B4</f>
        <v>7.253736989289262E-4</v>
      </c>
      <c r="M4" s="7">
        <f>C4+E4+G4+I4+K4</f>
        <v>2.8423192488998357</v>
      </c>
      <c r="N4" s="6">
        <f>M4/$B4</f>
        <v>1.504636135324991E-2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4CD19-8E6F-FF45-B493-50D91616DF24}">
  <dimension ref="A3:Y16"/>
  <sheetViews>
    <sheetView workbookViewId="0">
      <selection activeCell="N15" sqref="N15"/>
    </sheetView>
  </sheetViews>
  <sheetFormatPr baseColWidth="10" defaultColWidth="11" defaultRowHeight="16" x14ac:dyDescent="0.2"/>
  <cols>
    <col min="1" max="1" width="13" bestFit="1" customWidth="1"/>
    <col min="2" max="2" width="22.6640625" bestFit="1" customWidth="1"/>
    <col min="3" max="3" width="12.1640625" bestFit="1" customWidth="1"/>
    <col min="4" max="4" width="11.1640625" bestFit="1" customWidth="1"/>
    <col min="5" max="5" width="22.33203125" bestFit="1" customWidth="1"/>
    <col min="6" max="6" width="3.83203125" bestFit="1" customWidth="1"/>
    <col min="7" max="7" width="4.5" bestFit="1" customWidth="1"/>
    <col min="8" max="8" width="21.5" bestFit="1" customWidth="1"/>
    <col min="9" max="10" width="12.1640625" bestFit="1" customWidth="1"/>
    <col min="11" max="11" width="17.6640625" bestFit="1" customWidth="1"/>
    <col min="12" max="13" width="12.1640625" bestFit="1" customWidth="1"/>
    <col min="14" max="14" width="24.33203125" bestFit="1" customWidth="1"/>
    <col min="15" max="16" width="12.1640625" bestFit="1" customWidth="1"/>
    <col min="17" max="17" width="22.5" bestFit="1" customWidth="1"/>
    <col min="18" max="19" width="12.1640625" bestFit="1" customWidth="1"/>
    <col min="20" max="20" width="27.1640625" bestFit="1" customWidth="1"/>
    <col min="21" max="21" width="26.83203125" bestFit="1" customWidth="1"/>
    <col min="22" max="22" width="25.83203125" bestFit="1" customWidth="1"/>
    <col min="23" max="23" width="22.1640625" bestFit="1" customWidth="1"/>
    <col min="24" max="24" width="28.83203125" bestFit="1" customWidth="1"/>
    <col min="25" max="25" width="27" bestFit="1" customWidth="1"/>
  </cols>
  <sheetData>
    <row r="3" spans="1:25" x14ac:dyDescent="0.2">
      <c r="B3" s="2" t="s">
        <v>33</v>
      </c>
    </row>
    <row r="4" spans="1:25" x14ac:dyDescent="0.2">
      <c r="B4" t="s">
        <v>39</v>
      </c>
      <c r="E4" t="s">
        <v>36</v>
      </c>
      <c r="H4" t="s">
        <v>41</v>
      </c>
      <c r="K4" t="s">
        <v>43</v>
      </c>
      <c r="N4" t="s">
        <v>45</v>
      </c>
      <c r="Q4" t="s">
        <v>47</v>
      </c>
      <c r="T4" t="s">
        <v>37</v>
      </c>
      <c r="U4" t="s">
        <v>38</v>
      </c>
      <c r="V4" t="s">
        <v>40</v>
      </c>
      <c r="W4" t="s">
        <v>42</v>
      </c>
      <c r="X4" t="s">
        <v>44</v>
      </c>
      <c r="Y4" t="s">
        <v>46</v>
      </c>
    </row>
    <row r="5" spans="1:25" x14ac:dyDescent="0.2">
      <c r="A5" s="2" t="s">
        <v>35</v>
      </c>
      <c r="B5" t="s">
        <v>20</v>
      </c>
      <c r="C5" t="s">
        <v>13</v>
      </c>
      <c r="D5" t="s">
        <v>18</v>
      </c>
      <c r="E5" t="s">
        <v>20</v>
      </c>
      <c r="F5" t="s">
        <v>13</v>
      </c>
      <c r="G5" t="s">
        <v>18</v>
      </c>
      <c r="H5" t="s">
        <v>20</v>
      </c>
      <c r="I5" t="s">
        <v>13</v>
      </c>
      <c r="J5" t="s">
        <v>18</v>
      </c>
      <c r="K5" t="s">
        <v>20</v>
      </c>
      <c r="L5" t="s">
        <v>13</v>
      </c>
      <c r="M5" t="s">
        <v>18</v>
      </c>
      <c r="N5" t="s">
        <v>20</v>
      </c>
      <c r="O5" t="s">
        <v>13</v>
      </c>
      <c r="P5" t="s">
        <v>18</v>
      </c>
      <c r="Q5" t="s">
        <v>20</v>
      </c>
      <c r="R5" t="s">
        <v>13</v>
      </c>
      <c r="S5" t="s">
        <v>18</v>
      </c>
    </row>
    <row r="6" spans="1:25" x14ac:dyDescent="0.2">
      <c r="A6" s="3">
        <v>8525560064881230</v>
      </c>
      <c r="B6" s="4">
        <v>0.43533453600000005</v>
      </c>
      <c r="C6" s="4">
        <v>0</v>
      </c>
      <c r="D6" s="4"/>
      <c r="E6" s="4">
        <v>0</v>
      </c>
      <c r="F6" s="4">
        <v>0</v>
      </c>
      <c r="G6" s="4"/>
      <c r="H6" s="4">
        <v>1.1660746500000001</v>
      </c>
      <c r="I6" s="4">
        <v>0</v>
      </c>
      <c r="J6" s="4"/>
      <c r="K6" s="4">
        <v>1.1349793260000001</v>
      </c>
      <c r="L6" s="4">
        <v>0</v>
      </c>
      <c r="M6" s="4"/>
      <c r="N6" s="4">
        <v>0</v>
      </c>
      <c r="O6" s="4">
        <v>0.13702606089983602</v>
      </c>
      <c r="P6" s="4"/>
      <c r="Q6" s="4">
        <v>188.9040933</v>
      </c>
      <c r="R6" s="4">
        <v>0</v>
      </c>
      <c r="S6" s="4"/>
      <c r="T6" s="4">
        <v>0.43533453600000005</v>
      </c>
      <c r="U6" s="4">
        <v>0</v>
      </c>
      <c r="V6" s="4">
        <v>1.1660746500000001</v>
      </c>
      <c r="W6" s="4">
        <v>1.1349793260000001</v>
      </c>
      <c r="X6" s="4">
        <v>0.13702606089983602</v>
      </c>
      <c r="Y6" s="4">
        <v>188.9040933</v>
      </c>
    </row>
    <row r="7" spans="1:25" x14ac:dyDescent="0.2">
      <c r="A7" s="3">
        <v>8525560093441230</v>
      </c>
      <c r="B7" s="4">
        <v>0.43533453600000005</v>
      </c>
      <c r="C7" s="4"/>
      <c r="D7" s="4">
        <v>0.31095324000000002</v>
      </c>
      <c r="E7" s="4">
        <v>0</v>
      </c>
      <c r="F7" s="4"/>
      <c r="G7" s="4">
        <v>0</v>
      </c>
      <c r="H7" s="4">
        <v>1.1660746500000001</v>
      </c>
      <c r="I7" s="4"/>
      <c r="J7" s="4">
        <v>1.259360622</v>
      </c>
      <c r="K7" s="4">
        <v>1.1349793260000001</v>
      </c>
      <c r="L7" s="4"/>
      <c r="M7" s="4">
        <v>1.1349793260000001</v>
      </c>
      <c r="N7" s="4">
        <v>0</v>
      </c>
      <c r="O7" s="4"/>
      <c r="P7" s="4">
        <v>0.13702606089983602</v>
      </c>
      <c r="Q7" s="4">
        <v>188.9040933</v>
      </c>
      <c r="R7" s="4"/>
      <c r="S7" s="4">
        <v>188.90409330000003</v>
      </c>
      <c r="T7" s="4">
        <v>0.74628777600000007</v>
      </c>
      <c r="U7" s="4">
        <v>0</v>
      </c>
      <c r="V7" s="4">
        <v>2.4254352720000001</v>
      </c>
      <c r="W7" s="4">
        <v>2.2699586520000001</v>
      </c>
      <c r="X7" s="4">
        <v>0.13702606089983602</v>
      </c>
      <c r="Y7" s="4">
        <v>377.8081866</v>
      </c>
    </row>
    <row r="8" spans="1:25" x14ac:dyDescent="0.2">
      <c r="A8" s="3">
        <v>8525560093861230</v>
      </c>
      <c r="B8" s="4">
        <v>0</v>
      </c>
      <c r="C8" s="4">
        <v>0.37314388799999998</v>
      </c>
      <c r="D8" s="4"/>
      <c r="E8" s="4">
        <v>0</v>
      </c>
      <c r="F8" s="4">
        <v>0</v>
      </c>
      <c r="G8" s="4"/>
      <c r="H8" s="4">
        <v>0</v>
      </c>
      <c r="I8" s="4">
        <v>1.2282652979999999</v>
      </c>
      <c r="J8" s="4"/>
      <c r="K8" s="4">
        <v>0</v>
      </c>
      <c r="L8" s="4">
        <v>1.1349793260000001</v>
      </c>
      <c r="M8" s="4"/>
      <c r="N8" s="4">
        <v>0.13702606089983602</v>
      </c>
      <c r="O8" s="4">
        <v>0</v>
      </c>
      <c r="P8" s="4"/>
      <c r="Q8" s="4">
        <v>0</v>
      </c>
      <c r="R8" s="4">
        <v>188.28218682000002</v>
      </c>
      <c r="S8" s="4"/>
      <c r="T8" s="4">
        <v>0.37314388799999998</v>
      </c>
      <c r="U8" s="4">
        <v>0</v>
      </c>
      <c r="V8" s="4">
        <v>1.2282652979999999</v>
      </c>
      <c r="W8" s="4">
        <v>1.1349793260000001</v>
      </c>
      <c r="X8" s="4">
        <v>0.13702606089983602</v>
      </c>
      <c r="Y8" s="4">
        <v>188.28218682000002</v>
      </c>
    </row>
    <row r="9" spans="1:25" x14ac:dyDescent="0.2">
      <c r="A9" s="3">
        <v>8825560093761230</v>
      </c>
      <c r="B9" s="4">
        <v>0</v>
      </c>
      <c r="C9" s="4">
        <v>0.37314388799999998</v>
      </c>
      <c r="D9" s="4"/>
      <c r="E9" s="4">
        <v>0</v>
      </c>
      <c r="F9" s="4">
        <v>0</v>
      </c>
      <c r="G9" s="4"/>
      <c r="H9" s="4">
        <v>0</v>
      </c>
      <c r="I9" s="4">
        <v>1.2282652979999999</v>
      </c>
      <c r="J9" s="4"/>
      <c r="K9" s="4">
        <v>0</v>
      </c>
      <c r="L9" s="4">
        <v>1.1349793260000001</v>
      </c>
      <c r="M9" s="4"/>
      <c r="N9" s="4">
        <v>0</v>
      </c>
      <c r="O9" s="4">
        <v>0.13702606089983602</v>
      </c>
      <c r="P9" s="4"/>
      <c r="Q9" s="4">
        <v>0</v>
      </c>
      <c r="R9" s="4">
        <v>188.12671019999999</v>
      </c>
      <c r="S9" s="4"/>
      <c r="T9" s="4">
        <v>0.37314388799999998</v>
      </c>
      <c r="U9" s="4">
        <v>0</v>
      </c>
      <c r="V9" s="4">
        <v>1.2282652979999999</v>
      </c>
      <c r="W9" s="4">
        <v>1.1349793260000001</v>
      </c>
      <c r="X9" s="4">
        <v>0.13702606089983602</v>
      </c>
      <c r="Y9" s="4">
        <v>188.12671019999999</v>
      </c>
    </row>
    <row r="10" spans="1:25" x14ac:dyDescent="0.2">
      <c r="A10" s="3" t="s">
        <v>34</v>
      </c>
      <c r="B10" s="4">
        <v>0.8706690720000001</v>
      </c>
      <c r="C10" s="4">
        <v>0.74628777599999996</v>
      </c>
      <c r="D10" s="4">
        <v>0.31095324000000002</v>
      </c>
      <c r="E10" s="4">
        <v>0</v>
      </c>
      <c r="F10" s="4">
        <v>0</v>
      </c>
      <c r="G10" s="4">
        <v>0</v>
      </c>
      <c r="H10" s="4">
        <v>2.3321493000000002</v>
      </c>
      <c r="I10" s="4">
        <v>2.4565305959999999</v>
      </c>
      <c r="J10" s="4">
        <v>1.259360622</v>
      </c>
      <c r="K10" s="4">
        <v>2.2699586520000001</v>
      </c>
      <c r="L10" s="4">
        <v>2.2699586520000001</v>
      </c>
      <c r="M10" s="4">
        <v>1.1349793260000001</v>
      </c>
      <c r="N10" s="4">
        <v>0.13702606089983602</v>
      </c>
      <c r="O10" s="4">
        <v>0.27405212179967203</v>
      </c>
      <c r="P10" s="4">
        <v>0.13702606089983602</v>
      </c>
      <c r="Q10" s="4">
        <v>377.8081866</v>
      </c>
      <c r="R10" s="4">
        <v>376.40889702000004</v>
      </c>
      <c r="S10" s="4">
        <v>188.90409330000003</v>
      </c>
      <c r="T10" s="4">
        <v>1.927910088</v>
      </c>
      <c r="U10" s="4">
        <v>0</v>
      </c>
      <c r="V10" s="4">
        <v>6.0480405180000005</v>
      </c>
      <c r="W10" s="4">
        <v>5.6748966300000001</v>
      </c>
      <c r="X10" s="4">
        <v>0.54810424359934407</v>
      </c>
      <c r="Y10" s="4">
        <v>943.12117691999993</v>
      </c>
    </row>
    <row r="16" spans="1:25" x14ac:dyDescent="0.2">
      <c r="A16" s="5"/>
      <c r="B1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16D6-D87A-A44C-9A32-8A88277C435F}">
  <dimension ref="A1:W17"/>
  <sheetViews>
    <sheetView workbookViewId="0">
      <selection activeCell="P16" sqref="P16:P17"/>
    </sheetView>
  </sheetViews>
  <sheetFormatPr baseColWidth="10" defaultRowHeight="16" x14ac:dyDescent="0.2"/>
  <cols>
    <col min="1" max="1" width="12.6640625" bestFit="1" customWidth="1"/>
    <col min="2" max="2" width="14.6640625" bestFit="1" customWidth="1"/>
    <col min="3" max="3" width="15.33203125" bestFit="1" customWidth="1"/>
    <col min="4" max="4" width="13" bestFit="1" customWidth="1"/>
    <col min="5" max="5" width="12.33203125" bestFit="1" customWidth="1"/>
    <col min="6" max="6" width="18.1640625" bestFit="1" customWidth="1"/>
    <col min="7" max="7" width="11.5" bestFit="1" customWidth="1"/>
    <col min="8" max="8" width="15.1640625" bestFit="1" customWidth="1"/>
    <col min="9" max="9" width="11.1640625" bestFit="1" customWidth="1"/>
    <col min="10" max="10" width="15.83203125" bestFit="1" customWidth="1"/>
    <col min="11" max="11" width="14.83203125" bestFit="1" customWidth="1"/>
    <col min="12" max="12" width="21.1640625" bestFit="1" customWidth="1"/>
    <col min="13" max="13" width="17.33203125" bestFit="1" customWidth="1"/>
    <col min="14" max="14" width="17.33203125" customWidth="1"/>
    <col min="15" max="15" width="13" bestFit="1" customWidth="1"/>
    <col min="16" max="16" width="15.5" bestFit="1" customWidth="1"/>
    <col min="17" max="17" width="13" customWidth="1"/>
    <col min="18" max="18" width="15.1640625" bestFit="1" customWidth="1"/>
    <col min="19" max="19" width="11.1640625" bestFit="1" customWidth="1"/>
    <col min="20" max="20" width="15.83203125" bestFit="1" customWidth="1"/>
    <col min="21" max="21" width="14.83203125" bestFit="1" customWidth="1"/>
    <col min="22" max="22" width="17.33203125" bestFit="1" customWidth="1"/>
  </cols>
  <sheetData>
    <row r="1" spans="1:23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31</v>
      </c>
      <c r="O1" t="s">
        <v>22</v>
      </c>
      <c r="P1" t="s">
        <v>30</v>
      </c>
      <c r="Q1" t="s">
        <v>29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32</v>
      </c>
    </row>
    <row r="2" spans="1:23" x14ac:dyDescent="0.2">
      <c r="A2">
        <v>8525560064881230</v>
      </c>
      <c r="B2" t="s">
        <v>13</v>
      </c>
      <c r="C2" s="1">
        <v>45771.395150462966</v>
      </c>
      <c r="D2" t="s">
        <v>14</v>
      </c>
      <c r="E2" t="s">
        <v>15</v>
      </c>
      <c r="L2" t="s">
        <v>16</v>
      </c>
      <c r="M2">
        <v>0.1</v>
      </c>
      <c r="N2">
        <f>G2+H2+I2+J2+K2</f>
        <v>0</v>
      </c>
      <c r="O2" t="s">
        <v>23</v>
      </c>
      <c r="Q2">
        <v>1.37026060899836</v>
      </c>
      <c r="R2">
        <f>H2*P2</f>
        <v>0</v>
      </c>
      <c r="S2">
        <f>I2*P2</f>
        <v>0</v>
      </c>
      <c r="T2">
        <f>J2*P2</f>
        <v>0</v>
      </c>
      <c r="U2">
        <f>K2*P2</f>
        <v>0</v>
      </c>
      <c r="V2">
        <f>M2*Q2</f>
        <v>0.13702606089983602</v>
      </c>
      <c r="W2">
        <f>N2*P2</f>
        <v>0</v>
      </c>
    </row>
    <row r="3" spans="1:23" x14ac:dyDescent="0.2">
      <c r="A3">
        <v>8525560064881230</v>
      </c>
      <c r="B3" t="s">
        <v>13</v>
      </c>
      <c r="C3" s="1">
        <v>45771.395150462966</v>
      </c>
      <c r="D3" t="s">
        <v>14</v>
      </c>
      <c r="E3" t="s">
        <v>17</v>
      </c>
      <c r="N3">
        <f t="shared" ref="N3:N16" si="0">G3+H3+I3+J3+K3</f>
        <v>0</v>
      </c>
      <c r="O3" t="s">
        <v>23</v>
      </c>
      <c r="R3">
        <f>H3*P3</f>
        <v>0</v>
      </c>
      <c r="S3">
        <f>I3*P3</f>
        <v>0</v>
      </c>
      <c r="T3">
        <f>J3*P3</f>
        <v>0</v>
      </c>
      <c r="U3">
        <f>K3*P3</f>
        <v>0</v>
      </c>
      <c r="V3">
        <f>M3*Q3</f>
        <v>0</v>
      </c>
      <c r="W3">
        <f t="shared" ref="W3:W16" si="1">N3*P3</f>
        <v>0</v>
      </c>
    </row>
    <row r="4" spans="1:23" x14ac:dyDescent="0.2">
      <c r="A4">
        <v>8525560093441230</v>
      </c>
      <c r="B4" t="s">
        <v>18</v>
      </c>
      <c r="C4" s="1">
        <v>45771.409270833334</v>
      </c>
      <c r="D4" t="s">
        <v>14</v>
      </c>
      <c r="E4" t="s">
        <v>15</v>
      </c>
      <c r="L4" t="s">
        <v>16</v>
      </c>
      <c r="M4">
        <v>0.1</v>
      </c>
      <c r="N4">
        <f t="shared" si="0"/>
        <v>0</v>
      </c>
      <c r="O4" t="s">
        <v>23</v>
      </c>
      <c r="Q4">
        <v>1.37026060899836</v>
      </c>
      <c r="R4">
        <f>H4*P4</f>
        <v>0</v>
      </c>
      <c r="S4">
        <f>I4*P4</f>
        <v>0</v>
      </c>
      <c r="T4">
        <f>J4*P4</f>
        <v>0</v>
      </c>
      <c r="U4">
        <f>K4*P4</f>
        <v>0</v>
      </c>
      <c r="V4">
        <f>M4*Q4</f>
        <v>0.13702606089983602</v>
      </c>
      <c r="W4">
        <f t="shared" si="1"/>
        <v>0</v>
      </c>
    </row>
    <row r="5" spans="1:23" x14ac:dyDescent="0.2">
      <c r="A5">
        <v>8525560093441230</v>
      </c>
      <c r="B5" t="s">
        <v>18</v>
      </c>
      <c r="C5" s="1">
        <v>45771.409270833334</v>
      </c>
      <c r="D5" t="s">
        <v>14</v>
      </c>
      <c r="E5" t="s">
        <v>17</v>
      </c>
      <c r="N5">
        <f t="shared" si="0"/>
        <v>0</v>
      </c>
      <c r="O5" t="s">
        <v>23</v>
      </c>
      <c r="R5">
        <f>H5*P5</f>
        <v>0</v>
      </c>
      <c r="S5">
        <f>I5*P5</f>
        <v>0</v>
      </c>
      <c r="T5">
        <f>J5*P5</f>
        <v>0</v>
      </c>
      <c r="U5">
        <f>K5*P5</f>
        <v>0</v>
      </c>
      <c r="V5">
        <f>M5*Q5</f>
        <v>0</v>
      </c>
      <c r="W5">
        <f t="shared" si="1"/>
        <v>0</v>
      </c>
    </row>
    <row r="6" spans="1:23" x14ac:dyDescent="0.2">
      <c r="A6">
        <v>8525560093441230</v>
      </c>
      <c r="B6" t="s">
        <v>18</v>
      </c>
      <c r="C6" s="1">
        <v>45771.409328703703</v>
      </c>
      <c r="D6" t="s">
        <v>14</v>
      </c>
      <c r="E6" t="s">
        <v>19</v>
      </c>
      <c r="N6">
        <f t="shared" si="0"/>
        <v>0</v>
      </c>
      <c r="O6" t="s">
        <v>23</v>
      </c>
      <c r="R6">
        <f>H6*P6</f>
        <v>0</v>
      </c>
      <c r="S6">
        <f>I6*P6</f>
        <v>0</v>
      </c>
      <c r="T6">
        <f>J6*P6</f>
        <v>0</v>
      </c>
      <c r="U6">
        <f>K6*P6</f>
        <v>0</v>
      </c>
      <c r="V6">
        <f>M6*Q6</f>
        <v>0</v>
      </c>
      <c r="W6">
        <f t="shared" si="1"/>
        <v>0</v>
      </c>
    </row>
    <row r="7" spans="1:23" x14ac:dyDescent="0.2">
      <c r="A7">
        <v>8825560093761230</v>
      </c>
      <c r="B7" t="s">
        <v>13</v>
      </c>
      <c r="C7" s="1">
        <v>45771.409490740742</v>
      </c>
      <c r="D7" t="s">
        <v>14</v>
      </c>
      <c r="E7" t="s">
        <v>15</v>
      </c>
      <c r="L7" t="s">
        <v>16</v>
      </c>
      <c r="M7">
        <v>0.1</v>
      </c>
      <c r="N7">
        <f t="shared" si="0"/>
        <v>0</v>
      </c>
      <c r="O7" t="s">
        <v>23</v>
      </c>
      <c r="Q7">
        <v>1.37026060899836</v>
      </c>
      <c r="R7">
        <f>H7*P7</f>
        <v>0</v>
      </c>
      <c r="S7">
        <f>I7*P7</f>
        <v>0</v>
      </c>
      <c r="T7">
        <f>J7*P7</f>
        <v>0</v>
      </c>
      <c r="U7">
        <f>K7*P7</f>
        <v>0</v>
      </c>
      <c r="V7">
        <f>M7*Q7</f>
        <v>0.13702606089983602</v>
      </c>
      <c r="W7">
        <f t="shared" si="1"/>
        <v>0</v>
      </c>
    </row>
    <row r="8" spans="1:23" x14ac:dyDescent="0.2">
      <c r="A8">
        <v>8825560093761230</v>
      </c>
      <c r="B8" t="s">
        <v>13</v>
      </c>
      <c r="C8" s="1">
        <v>45771.409502314818</v>
      </c>
      <c r="D8" t="s">
        <v>14</v>
      </c>
      <c r="E8" t="s">
        <v>17</v>
      </c>
      <c r="N8">
        <f t="shared" si="0"/>
        <v>0</v>
      </c>
      <c r="O8" t="s">
        <v>23</v>
      </c>
      <c r="R8">
        <f>H8*P8</f>
        <v>0</v>
      </c>
      <c r="S8">
        <f>I8*P8</f>
        <v>0</v>
      </c>
      <c r="T8">
        <f>J8*P8</f>
        <v>0</v>
      </c>
      <c r="U8">
        <f>K8*P8</f>
        <v>0</v>
      </c>
      <c r="V8">
        <f>M8*Q8</f>
        <v>0</v>
      </c>
      <c r="W8">
        <f t="shared" si="1"/>
        <v>0</v>
      </c>
    </row>
    <row r="9" spans="1:23" x14ac:dyDescent="0.2">
      <c r="A9">
        <v>8825560093761230</v>
      </c>
      <c r="B9" t="s">
        <v>20</v>
      </c>
      <c r="C9" s="1">
        <v>45771.40966435185</v>
      </c>
      <c r="D9" t="s">
        <v>14</v>
      </c>
      <c r="E9" t="s">
        <v>19</v>
      </c>
      <c r="N9">
        <f t="shared" si="0"/>
        <v>0</v>
      </c>
      <c r="O9" t="s">
        <v>23</v>
      </c>
      <c r="R9">
        <f>H9*P9</f>
        <v>0</v>
      </c>
      <c r="S9">
        <f>I9*P9</f>
        <v>0</v>
      </c>
      <c r="T9">
        <f>J9*P9</f>
        <v>0</v>
      </c>
      <c r="U9">
        <f>K9*P9</f>
        <v>0</v>
      </c>
      <c r="V9">
        <f>M9*Q9</f>
        <v>0</v>
      </c>
      <c r="W9">
        <f t="shared" si="1"/>
        <v>0</v>
      </c>
    </row>
    <row r="10" spans="1:23" x14ac:dyDescent="0.2">
      <c r="A10">
        <v>8525560093861230</v>
      </c>
      <c r="B10" t="s">
        <v>20</v>
      </c>
      <c r="C10" s="1">
        <v>45771.409722222219</v>
      </c>
      <c r="D10" t="s">
        <v>14</v>
      </c>
      <c r="E10" t="s">
        <v>15</v>
      </c>
      <c r="L10" t="s">
        <v>16</v>
      </c>
      <c r="M10">
        <v>0.1</v>
      </c>
      <c r="N10">
        <f t="shared" si="0"/>
        <v>0</v>
      </c>
      <c r="O10" t="s">
        <v>23</v>
      </c>
      <c r="Q10">
        <v>1.37026060899836</v>
      </c>
      <c r="R10">
        <f>H10*P10</f>
        <v>0</v>
      </c>
      <c r="S10">
        <f>I10*P10</f>
        <v>0</v>
      </c>
      <c r="T10">
        <f>J10*P10</f>
        <v>0</v>
      </c>
      <c r="U10">
        <f>K10*P10</f>
        <v>0</v>
      </c>
      <c r="V10">
        <f>M10*Q10</f>
        <v>0.13702606089983602</v>
      </c>
      <c r="W10">
        <f t="shared" si="1"/>
        <v>0</v>
      </c>
    </row>
    <row r="11" spans="1:23" x14ac:dyDescent="0.2">
      <c r="A11">
        <v>8525560093861230</v>
      </c>
      <c r="B11" t="s">
        <v>13</v>
      </c>
      <c r="C11" s="1">
        <v>45771.409733796296</v>
      </c>
      <c r="D11" t="s">
        <v>14</v>
      </c>
      <c r="E11" t="s">
        <v>17</v>
      </c>
      <c r="N11">
        <f t="shared" si="0"/>
        <v>0</v>
      </c>
      <c r="O11" t="s">
        <v>23</v>
      </c>
      <c r="R11">
        <f>H11*P11</f>
        <v>0</v>
      </c>
      <c r="S11">
        <f>I11*P11</f>
        <v>0</v>
      </c>
      <c r="T11">
        <f>J11*P11</f>
        <v>0</v>
      </c>
      <c r="U11">
        <f>K11*P11</f>
        <v>0</v>
      </c>
      <c r="V11">
        <f>M11*Q11</f>
        <v>0</v>
      </c>
      <c r="W11">
        <f t="shared" si="1"/>
        <v>0</v>
      </c>
    </row>
    <row r="12" spans="1:23" x14ac:dyDescent="0.2">
      <c r="A12">
        <v>8525560093861230</v>
      </c>
      <c r="B12" t="s">
        <v>13</v>
      </c>
      <c r="C12" s="1">
        <v>45771.409849537034</v>
      </c>
      <c r="D12" t="s">
        <v>14</v>
      </c>
      <c r="E12" t="s">
        <v>19</v>
      </c>
      <c r="N12">
        <f t="shared" si="0"/>
        <v>0</v>
      </c>
      <c r="O12" t="s">
        <v>23</v>
      </c>
      <c r="R12">
        <f>H12*P12</f>
        <v>0</v>
      </c>
      <c r="S12">
        <f>I12*P12</f>
        <v>0</v>
      </c>
      <c r="T12">
        <f>J12*P12</f>
        <v>0</v>
      </c>
      <c r="U12">
        <f>K12*P12</f>
        <v>0</v>
      </c>
      <c r="V12">
        <f>M12*Q12</f>
        <v>0</v>
      </c>
      <c r="W12">
        <f t="shared" si="1"/>
        <v>0</v>
      </c>
    </row>
    <row r="13" spans="1:23" x14ac:dyDescent="0.2">
      <c r="A13">
        <v>8525560064881230</v>
      </c>
      <c r="B13" t="s">
        <v>20</v>
      </c>
      <c r="C13" s="1">
        <v>45771.564120370371</v>
      </c>
      <c r="D13" t="s">
        <v>14</v>
      </c>
      <c r="E13" t="s">
        <v>21</v>
      </c>
      <c r="F13" t="s">
        <v>14</v>
      </c>
      <c r="G13">
        <v>119.74</v>
      </c>
      <c r="H13">
        <v>0</v>
      </c>
      <c r="I13">
        <v>0.73</v>
      </c>
      <c r="J13">
        <v>0.28000000000000003</v>
      </c>
      <c r="K13">
        <v>0.75</v>
      </c>
      <c r="N13">
        <f t="shared" si="0"/>
        <v>121.5</v>
      </c>
      <c r="O13" t="s">
        <v>23</v>
      </c>
      <c r="P13">
        <v>1.5547662</v>
      </c>
      <c r="R13">
        <f>H13*P13</f>
        <v>0</v>
      </c>
      <c r="S13">
        <f>I13*P13</f>
        <v>1.1349793260000001</v>
      </c>
      <c r="T13">
        <f>J13*P13</f>
        <v>0.43533453600000005</v>
      </c>
      <c r="U13">
        <f>K13*P13</f>
        <v>1.1660746500000001</v>
      </c>
      <c r="V13">
        <f>M13*Q13</f>
        <v>0</v>
      </c>
      <c r="W13">
        <f t="shared" si="1"/>
        <v>188.9040933</v>
      </c>
    </row>
    <row r="14" spans="1:23" x14ac:dyDescent="0.2">
      <c r="A14">
        <v>8525560093441230</v>
      </c>
      <c r="B14" t="s">
        <v>20</v>
      </c>
      <c r="C14" s="1">
        <v>45771.564166666663</v>
      </c>
      <c r="D14" t="s">
        <v>14</v>
      </c>
      <c r="E14" t="s">
        <v>21</v>
      </c>
      <c r="F14" t="s">
        <v>14</v>
      </c>
      <c r="G14">
        <v>119.74</v>
      </c>
      <c r="H14">
        <v>0</v>
      </c>
      <c r="I14">
        <v>0.73</v>
      </c>
      <c r="J14">
        <v>0.28000000000000003</v>
      </c>
      <c r="K14">
        <v>0.75</v>
      </c>
      <c r="N14">
        <f t="shared" si="0"/>
        <v>121.5</v>
      </c>
      <c r="O14" t="s">
        <v>23</v>
      </c>
      <c r="P14">
        <v>1.5547662</v>
      </c>
      <c r="R14">
        <f>H14*P14</f>
        <v>0</v>
      </c>
      <c r="S14">
        <f>I14*P14</f>
        <v>1.1349793260000001</v>
      </c>
      <c r="T14">
        <f>J14*P14</f>
        <v>0.43533453600000005</v>
      </c>
      <c r="U14">
        <f>K14*P14</f>
        <v>1.1660746500000001</v>
      </c>
      <c r="V14">
        <f>M14*Q14</f>
        <v>0</v>
      </c>
      <c r="W14">
        <f t="shared" si="1"/>
        <v>188.9040933</v>
      </c>
    </row>
    <row r="15" spans="1:23" x14ac:dyDescent="0.2">
      <c r="A15">
        <v>8825560093761230</v>
      </c>
      <c r="B15" t="s">
        <v>13</v>
      </c>
      <c r="C15" s="1">
        <v>45771.564166666663</v>
      </c>
      <c r="D15" t="s">
        <v>14</v>
      </c>
      <c r="E15" t="s">
        <v>21</v>
      </c>
      <c r="F15" t="s">
        <v>14</v>
      </c>
      <c r="G15">
        <v>119.24</v>
      </c>
      <c r="H15">
        <v>0</v>
      </c>
      <c r="I15">
        <v>0.73</v>
      </c>
      <c r="J15">
        <v>0.24</v>
      </c>
      <c r="K15">
        <v>0.79</v>
      </c>
      <c r="N15">
        <f t="shared" si="0"/>
        <v>121</v>
      </c>
      <c r="O15" t="s">
        <v>23</v>
      </c>
      <c r="P15">
        <v>1.5547662</v>
      </c>
      <c r="R15">
        <f>H15*P15</f>
        <v>0</v>
      </c>
      <c r="S15">
        <f>I15*P15</f>
        <v>1.1349793260000001</v>
      </c>
      <c r="T15">
        <f>J15*P15</f>
        <v>0.37314388799999998</v>
      </c>
      <c r="U15">
        <f>K15*P15</f>
        <v>1.2282652979999999</v>
      </c>
      <c r="V15">
        <f>M15*Q15</f>
        <v>0</v>
      </c>
      <c r="W15">
        <f t="shared" si="1"/>
        <v>188.12671019999999</v>
      </c>
    </row>
    <row r="16" spans="1:23" x14ac:dyDescent="0.2">
      <c r="A16">
        <v>8525560093861230</v>
      </c>
      <c r="B16" t="s">
        <v>13</v>
      </c>
      <c r="C16" s="1">
        <v>45771.564166666663</v>
      </c>
      <c r="D16" t="s">
        <v>14</v>
      </c>
      <c r="E16" t="s">
        <v>21</v>
      </c>
      <c r="F16" t="s">
        <v>14</v>
      </c>
      <c r="G16">
        <v>119.34</v>
      </c>
      <c r="H16">
        <v>0</v>
      </c>
      <c r="I16">
        <v>0.73</v>
      </c>
      <c r="J16">
        <v>0.24</v>
      </c>
      <c r="K16">
        <v>0.79</v>
      </c>
      <c r="N16">
        <f t="shared" si="0"/>
        <v>121.10000000000001</v>
      </c>
      <c r="O16" t="s">
        <v>23</v>
      </c>
      <c r="P16">
        <v>1.5547662</v>
      </c>
      <c r="R16">
        <f>H16*P16</f>
        <v>0</v>
      </c>
      <c r="S16">
        <f>I16*P16</f>
        <v>1.1349793260000001</v>
      </c>
      <c r="T16">
        <f>J16*P16</f>
        <v>0.37314388799999998</v>
      </c>
      <c r="U16">
        <f>K16*P16</f>
        <v>1.2282652979999999</v>
      </c>
      <c r="V16">
        <f>M16*Q16</f>
        <v>0</v>
      </c>
      <c r="W16">
        <f t="shared" si="1"/>
        <v>188.28218682000002</v>
      </c>
    </row>
    <row r="17" spans="1:23" x14ac:dyDescent="0.2">
      <c r="A17">
        <v>8525560093441230</v>
      </c>
      <c r="B17" t="s">
        <v>18</v>
      </c>
      <c r="C17" s="1">
        <v>45771.563981481479</v>
      </c>
      <c r="D17" t="s">
        <v>14</v>
      </c>
      <c r="E17" t="s">
        <v>21</v>
      </c>
      <c r="F17" t="s">
        <v>14</v>
      </c>
      <c r="G17">
        <v>119.76</v>
      </c>
      <c r="H17">
        <v>0</v>
      </c>
      <c r="I17">
        <v>0.73</v>
      </c>
      <c r="J17">
        <v>0.2</v>
      </c>
      <c r="K17">
        <v>0.81</v>
      </c>
      <c r="N17">
        <f>G17+H17+I17+J17+K17</f>
        <v>121.50000000000001</v>
      </c>
      <c r="O17" t="s">
        <v>23</v>
      </c>
      <c r="P17">
        <v>1.5547662</v>
      </c>
      <c r="R17">
        <f>H17*P17</f>
        <v>0</v>
      </c>
      <c r="S17">
        <f>I17*P17</f>
        <v>1.1349793260000001</v>
      </c>
      <c r="T17">
        <f>J17*P17</f>
        <v>0.31095324000000002</v>
      </c>
      <c r="U17">
        <f>K17*P17</f>
        <v>1.259360622</v>
      </c>
      <c r="V17">
        <f>M17*Q17</f>
        <v>0</v>
      </c>
      <c r="W17">
        <f t="shared" ref="W17" si="2">N17*P17</f>
        <v>188.90409330000003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Calculations</vt:lpstr>
      <vt:lpstr>Pivot</vt:lpstr>
      <vt:lpstr>SAMPLE_PAR_2024_04_25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Sebastiaan Paes</dc:creator>
  <cp:lastModifiedBy>Sebastiaan Paes</cp:lastModifiedBy>
  <dcterms:created xsi:type="dcterms:W3CDTF">2025-05-15T08:13:09Z</dcterms:created>
  <dcterms:modified xsi:type="dcterms:W3CDTF">2025-05-15T08:14:17Z</dcterms:modified>
</cp:coreProperties>
</file>